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quanker\Documents\Biotech Analysis\"/>
    </mc:Choice>
  </mc:AlternateContent>
  <xr:revisionPtr revIDLastSave="0" documentId="8_{B6F14B18-69BD-4297-AC9F-4EAAE6D7EBBD}" xr6:coauthVersionLast="47" xr6:coauthVersionMax="47" xr10:uidLastSave="{00000000-0000-0000-0000-000000000000}"/>
  <bookViews>
    <workbookView xWindow="57480" yWindow="4470" windowWidth="38640" windowHeight="21240" activeTab="3" xr2:uid="{CC88B1FD-3E82-4B42-9929-6218DA3F5F83}"/>
  </bookViews>
  <sheets>
    <sheet name="Company notes" sheetId="1" r:id="rId1"/>
    <sheet name="BOTBAL" sheetId="6" r:id="rId2"/>
    <sheet name="Botensilimab (CTLA-4)" sheetId="2" r:id="rId3"/>
    <sheet name="PD1s" sheetId="7" r:id="rId4"/>
    <sheet name="Balstilimab (PD-1)" sheetId="3" r:id="rId5"/>
    <sheet name="Pipeline" sheetId="4" r:id="rId6"/>
    <sheet name="Model" sheetId="5" r:id="rId7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5" i="5" l="1"/>
  <c r="R5" i="5" s="1"/>
  <c r="Q5" i="5" s="1"/>
  <c r="T5" i="5"/>
  <c r="N9" i="5"/>
  <c r="O7" i="5"/>
  <c r="O9" i="5" s="1"/>
  <c r="N7" i="5"/>
  <c r="N8" i="5" s="1"/>
  <c r="P6" i="5"/>
  <c r="P7" i="5" s="1"/>
  <c r="T4" i="5"/>
  <c r="V4" i="5" s="1"/>
  <c r="W4" i="5" s="1"/>
  <c r="X4" i="5" s="1"/>
  <c r="Y4" i="5" s="1"/>
  <c r="Z4" i="5" s="1"/>
  <c r="AA4" i="5" s="1"/>
  <c r="AB4" i="5" s="1"/>
  <c r="AC4" i="5" s="1"/>
  <c r="AD4" i="5" s="1"/>
  <c r="S4" i="5"/>
  <c r="R4" i="5"/>
  <c r="N3" i="5"/>
  <c r="O3" i="5" s="1"/>
  <c r="P3" i="5" s="1"/>
  <c r="Q3" i="5" s="1"/>
  <c r="R3" i="5" s="1"/>
  <c r="S3" i="5" s="1"/>
  <c r="T3" i="5" s="1"/>
  <c r="U3" i="5" s="1"/>
  <c r="V3" i="5" s="1"/>
  <c r="W3" i="5" s="1"/>
  <c r="X3" i="5" s="1"/>
  <c r="Y3" i="5" s="1"/>
  <c r="Z3" i="5" s="1"/>
  <c r="AA3" i="5" s="1"/>
  <c r="AB3" i="5" s="1"/>
  <c r="AC3" i="5" s="1"/>
  <c r="AD3" i="5" s="1"/>
  <c r="P8" i="5" l="1"/>
  <c r="P9" i="5"/>
  <c r="S6" i="5"/>
  <c r="S7" i="5" s="1"/>
  <c r="R6" i="5"/>
  <c r="R7" i="5" s="1"/>
  <c r="Q6" i="5"/>
  <c r="Q7" i="5" s="1"/>
  <c r="Q9" i="5" s="1"/>
  <c r="Q11" i="5"/>
  <c r="S8" i="5"/>
  <c r="S11" i="5"/>
  <c r="S9" i="5"/>
  <c r="P12" i="5"/>
  <c r="R8" i="5"/>
  <c r="R12" i="5" s="1"/>
  <c r="R9" i="5"/>
  <c r="T6" i="5"/>
  <c r="T7" i="5" s="1"/>
  <c r="O11" i="5"/>
  <c r="P11" i="5"/>
  <c r="N11" i="5"/>
  <c r="R11" i="5" s="1"/>
  <c r="O8" i="5"/>
  <c r="O12" i="5" l="1"/>
  <c r="S12" i="5"/>
  <c r="S13" i="5" s="1"/>
  <c r="S14" i="5" s="1"/>
  <c r="Q8" i="5"/>
  <c r="Q12" i="5"/>
  <c r="R13" i="5"/>
  <c r="R14" i="5" s="1"/>
  <c r="O13" i="5"/>
  <c r="O14" i="5" s="1"/>
  <c r="Q13" i="5"/>
  <c r="Q14" i="5" s="1"/>
  <c r="P13" i="5"/>
  <c r="P14" i="5" s="1"/>
  <c r="N12" i="5"/>
  <c r="N14" i="5" s="1"/>
  <c r="U6" i="5"/>
  <c r="U7" i="5" s="1"/>
  <c r="V5" i="5"/>
  <c r="T11" i="5"/>
  <c r="T9" i="5"/>
  <c r="T8" i="5"/>
  <c r="T12" i="5" l="1"/>
  <c r="T13" i="5" s="1"/>
  <c r="T14" i="5" s="1"/>
  <c r="U11" i="5"/>
  <c r="U9" i="5"/>
  <c r="U8" i="5"/>
  <c r="W5" i="5"/>
  <c r="V6" i="5"/>
  <c r="V7" i="5" s="1"/>
  <c r="U12" i="5" l="1"/>
  <c r="U13" i="5" s="1"/>
  <c r="U14" i="5" s="1"/>
  <c r="X5" i="5"/>
  <c r="W6" i="5"/>
  <c r="W7" i="5" s="1"/>
  <c r="V9" i="5"/>
  <c r="V8" i="5"/>
  <c r="V12" i="5" s="1"/>
  <c r="V11" i="5"/>
  <c r="V13" i="5" l="1"/>
  <c r="V14" i="5" s="1"/>
  <c r="W8" i="5"/>
  <c r="W11" i="5"/>
  <c r="W9" i="5"/>
  <c r="W12" i="5"/>
  <c r="X6" i="5"/>
  <c r="X7" i="5" s="1"/>
  <c r="Y5" i="5"/>
  <c r="Z5" i="5" l="1"/>
  <c r="Y6" i="5"/>
  <c r="Y7" i="5" s="1"/>
  <c r="X11" i="5"/>
  <c r="X9" i="5"/>
  <c r="X8" i="5"/>
  <c r="X12" i="5" s="1"/>
  <c r="W13" i="5"/>
  <c r="W14" i="5" s="1"/>
  <c r="X13" i="5" l="1"/>
  <c r="X14" i="5" s="1"/>
  <c r="Y9" i="5"/>
  <c r="Y11" i="5"/>
  <c r="Y8" i="5"/>
  <c r="Y12" i="5" s="1"/>
  <c r="Z6" i="5"/>
  <c r="Z7" i="5" s="1"/>
  <c r="AA5" i="5"/>
  <c r="Y13" i="5" l="1"/>
  <c r="Y14" i="5"/>
  <c r="AB5" i="5"/>
  <c r="AA6" i="5"/>
  <c r="AA7" i="5" s="1"/>
  <c r="Z9" i="5"/>
  <c r="Z8" i="5"/>
  <c r="Z11" i="5"/>
  <c r="Z12" i="5" l="1"/>
  <c r="Z13" i="5"/>
  <c r="Z14" i="5" s="1"/>
  <c r="AA9" i="5"/>
  <c r="AA8" i="5"/>
  <c r="AA11" i="5"/>
  <c r="AB6" i="5"/>
  <c r="AB7" i="5" s="1"/>
  <c r="AC5" i="5"/>
  <c r="AA12" i="5" l="1"/>
  <c r="AA13" i="5" s="1"/>
  <c r="AA14" i="5" s="1"/>
  <c r="AD5" i="5"/>
  <c r="AD6" i="5" s="1"/>
  <c r="AD7" i="5" s="1"/>
  <c r="AC6" i="5"/>
  <c r="AC7" i="5" s="1"/>
  <c r="AB11" i="5"/>
  <c r="AB9" i="5"/>
  <c r="AB8" i="5"/>
  <c r="AB12" i="5" s="1"/>
  <c r="AB13" i="5" l="1"/>
  <c r="AB14" i="5"/>
  <c r="AC9" i="5"/>
  <c r="AC8" i="5"/>
  <c r="AC11" i="5"/>
  <c r="AD8" i="5"/>
  <c r="AD9" i="5"/>
  <c r="AD11" i="5"/>
  <c r="AD12" i="5" l="1"/>
  <c r="AC12" i="5"/>
  <c r="AD13" i="5"/>
  <c r="AD14" i="5" s="1"/>
  <c r="AC13" i="5"/>
  <c r="AC14" i="5" s="1"/>
  <c r="AG14" i="5" l="1"/>
</calcChain>
</file>

<file path=xl/sharedStrings.xml><?xml version="1.0" encoding="utf-8"?>
<sst xmlns="http://schemas.openxmlformats.org/spreadsheetml/2006/main" count="101" uniqueCount="88">
  <si>
    <t>Botsilimab</t>
  </si>
  <si>
    <t xml:space="preserve">Should have 3 quarters of runway left </t>
  </si>
  <si>
    <t>Looking at 10Q from Q323 they have about 7M in defered rev</t>
  </si>
  <si>
    <t>Actually burned 208M as of Q323, $70M/Q</t>
  </si>
  <si>
    <t>$20M in royalties payout Q3, $24M total. That was most of what they got in cash. Also had 27M in non-cash royalties on the yr. $70M in 2023</t>
  </si>
  <si>
    <t xml:space="preserve">Phase 1 study. These patients received the combination of botensilimab (either 1 or 2 mg/kg every 6 weeks) and balstilimab (3 mg/kg every 2 weeks). </t>
  </si>
  <si>
    <t xml:space="preserve">The results showed a survival and efficacy benefit compared to what has been reported for standard of care in a comparable patient population. </t>
  </si>
  <si>
    <t xml:space="preserve">The 12-month overall survival (“OS”) was 74% with a median OS not yet reached, after a median follow up of 12.3 months, compared to a median OS of 12.9 months reported for standard of care. </t>
  </si>
  <si>
    <t>The confirmed overall response rate based on RECIST 1.1 was 24% compared to 2.8% reported with standard of care.</t>
  </si>
  <si>
    <t xml:space="preserve">Cool note they liscened out their vaccine adjuvant from tree bark QS-21 to GSK for Shingrix </t>
  </si>
  <si>
    <t>They spun out SaponiQx (saponin based) to do the adjuvant discovery work. They are working w Ginko to mfg those products from local materials. Neat</t>
  </si>
  <si>
    <t>Our cash, cash equivalents and short-term investments at September 30, 2023 were $106.3 million, a decrease of $87.1 million from December 31, 2022</t>
  </si>
  <si>
    <t xml:space="preserve">Based on our current plans and projections, we believe that our cash resources of $106.3 million as of September 30, 2023, plus additional funding we anticipate from the achievement of a milestone under an existing partnership, will be sufficient to satisfy our liquidity requirements for at least one year from when these financial statements were issued. </t>
  </si>
  <si>
    <t>This milestone will be triggered upon dosing the first patient in a clinical trial which is currently screening patients and is expected to occur by end of 2023.</t>
  </si>
  <si>
    <t>In addition to the expected milestone payment by end of 2023, we are in active discussions to sell two non-strategic assets expected to close in the first half of 2024 with an estimated aggregate value of approximately $65.0 million</t>
  </si>
  <si>
    <t>We are also in advanced discussions for a potential structured financing for botensilimab/balstilimab, as well as a potential corporate collaboration with a large pharma or biotech company. None of these sources of cash involve equity or debt issuance.</t>
  </si>
  <si>
    <t>Balstilimab</t>
  </si>
  <si>
    <t xml:space="preserve">Questions : </t>
  </si>
  <si>
    <t>CRC market size ?</t>
  </si>
  <si>
    <t>sales forecast</t>
  </si>
  <si>
    <t xml:space="preserve">Why is the CTLA-4 antibody different </t>
  </si>
  <si>
    <t xml:space="preserve">Why is the PD-1 antibody different </t>
  </si>
  <si>
    <t xml:space="preserve">What is the rest of their pipeline like? </t>
  </si>
  <si>
    <t>Although a setback at the time, balstilimab is</t>
  </si>
  <si>
    <t>still a viable and differentiated PD-1 inhibitor as it is only one of three PD-</t>
  </si>
  <si>
    <t>1 Abs (Keytruda and Regeneron’s Libtayo) to show meaningful activity in</t>
  </si>
  <si>
    <t>this notoriously difficult-to-treat tumor type.</t>
  </si>
  <si>
    <t>Model</t>
  </si>
  <si>
    <t>Failure in melanoma?</t>
  </si>
  <si>
    <t xml:space="preserve">Lost race in cervical to Keytruda </t>
  </si>
  <si>
    <t xml:space="preserve">BOT/ BAL </t>
  </si>
  <si>
    <t>CRC</t>
  </si>
  <si>
    <t xml:space="preserve">Melanoma </t>
  </si>
  <si>
    <t>BOT/Chemo</t>
  </si>
  <si>
    <t xml:space="preserve">Pancreatic cancer </t>
  </si>
  <si>
    <t>Solid tumor</t>
  </si>
  <si>
    <t xml:space="preserve">BAL/ZAL </t>
  </si>
  <si>
    <t>Cervical cancer</t>
  </si>
  <si>
    <t xml:space="preserve">Fc enhanced CTLA-4- agonist for the APC/ NK cells </t>
  </si>
  <si>
    <t>co-stimulatory cytokines to pump T-cell killing function ?</t>
  </si>
  <si>
    <t xml:space="preserve">binding to FcGRIIIA increases ADCC, co-stimulatory cytokines </t>
  </si>
  <si>
    <t>Assay Name</t>
  </si>
  <si>
    <t>Company Name</t>
  </si>
  <si>
    <t>Region</t>
  </si>
  <si>
    <t>Forecast End Date</t>
  </si>
  <si>
    <t>Dampen Growth Rate</t>
  </si>
  <si>
    <t>Data Type</t>
  </si>
  <si>
    <t>Operating Line</t>
  </si>
  <si>
    <t>Margin/TaxRate/WACC</t>
  </si>
  <si>
    <t>Expiry Month</t>
  </si>
  <si>
    <t>Expiry Year</t>
  </si>
  <si>
    <t>2022</t>
  </si>
  <si>
    <t>Risk-adjusted NPV</t>
  </si>
  <si>
    <t>Rest of World</t>
  </si>
  <si>
    <t>Revenue Model</t>
  </si>
  <si>
    <t>US</t>
  </si>
  <si>
    <t>Global</t>
  </si>
  <si>
    <t>Operating Profit</t>
  </si>
  <si>
    <t>Total Revenue</t>
  </si>
  <si>
    <t>COGS</t>
  </si>
  <si>
    <t>S,G&amp;A</t>
  </si>
  <si>
    <t>R&amp;D</t>
  </si>
  <si>
    <t>Other Expenses</t>
  </si>
  <si>
    <t>Risk</t>
  </si>
  <si>
    <t>Net Profit</t>
  </si>
  <si>
    <t>Tax Rate</t>
  </si>
  <si>
    <t>Discounted Cash Flow (DCF)</t>
  </si>
  <si>
    <t>WACC</t>
  </si>
  <si>
    <t>NPV</t>
  </si>
  <si>
    <t xml:space="preserve">Revenue breakdown </t>
  </si>
  <si>
    <t>BOT/BAL</t>
  </si>
  <si>
    <t>AGENUS</t>
  </si>
  <si>
    <t>CRC indication</t>
  </si>
  <si>
    <t xml:space="preserve">Indication </t>
  </si>
  <si>
    <t>N</t>
  </si>
  <si>
    <t>Tx</t>
  </si>
  <si>
    <t>Results</t>
  </si>
  <si>
    <t xml:space="preserve">Phase </t>
  </si>
  <si>
    <t>Link</t>
  </si>
  <si>
    <t>Phase 1 trial of 77 patients with refractory MSS-CRC without active liver metastases</t>
  </si>
  <si>
    <t xml:space="preserve">23% ORR after median FU 13.6mths </t>
  </si>
  <si>
    <t xml:space="preserve">Median duration of response in 18 responders not reached yet </t>
  </si>
  <si>
    <t xml:space="preserve">Estimateed 12 and 18mth OS rates 71% and 62% respectively </t>
  </si>
  <si>
    <t xml:space="preserve">Median OS was 21.2 mths </t>
  </si>
  <si>
    <t>https://www.biospace.com/article/releases/agenus-announces-updated-phase-1-data-and-progress-on-bot-bal-development-in-metastatic-mss-colorectal-cancer/</t>
  </si>
  <si>
    <t>Keytruda</t>
  </si>
  <si>
    <t xml:space="preserve">Dostarlimab </t>
  </si>
  <si>
    <t>Nivolumab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</si>
</sst>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%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rgb="FFFFFFFF"/>
      <name val="Arial"/>
      <family val="2"/>
    </font>
    <font>
      <sz val="10"/>
      <color rgb="FF0000FF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808080"/>
        <bgColor indexed="64"/>
      </patternFill>
    </fill>
  </fills>
  <borders count="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49" fontId="2" fillId="2" borderId="0" xfId="0" applyNumberFormat="1" applyFont="1" applyFill="1" applyAlignment="1">
      <alignment horizontal="left"/>
    </xf>
    <xf numFmtId="1" fontId="2" fillId="2" borderId="0" xfId="0" applyNumberFormat="1" applyFont="1" applyFill="1" applyAlignment="1">
      <alignment horizontal="center"/>
    </xf>
    <xf numFmtId="9" fontId="0" fillId="0" borderId="0" xfId="0" applyNumberFormat="1" applyAlignment="1">
      <alignment horizontal="right"/>
    </xf>
    <xf numFmtId="164" fontId="0" fillId="0" borderId="0" xfId="0" applyNumberFormat="1" applyAlignment="1">
      <alignment horizontal="right"/>
    </xf>
    <xf numFmtId="3" fontId="0" fillId="0" borderId="0" xfId="0" applyNumberFormat="1" applyAlignment="1">
      <alignment horizontal="right"/>
    </xf>
    <xf numFmtId="3" fontId="3" fillId="0" borderId="1" xfId="0" applyNumberFormat="1" applyFont="1" applyBorder="1" applyAlignment="1">
      <alignment horizontal="right"/>
    </xf>
    <xf numFmtId="3" fontId="3" fillId="0" borderId="2" xfId="0" applyNumberFormat="1" applyFont="1" applyBorder="1" applyAlignment="1">
      <alignment horizontal="right"/>
    </xf>
    <xf numFmtId="3" fontId="0" fillId="0" borderId="0" xfId="0" applyNumberFormat="1"/>
    <xf numFmtId="3" fontId="3" fillId="0" borderId="3" xfId="0" applyNumberFormat="1" applyFont="1" applyBorder="1" applyAlignment="1">
      <alignment horizontal="right"/>
    </xf>
    <xf numFmtId="3" fontId="3" fillId="0" borderId="4" xfId="0" applyNumberFormat="1" applyFont="1" applyBorder="1" applyAlignment="1">
      <alignment horizontal="right"/>
    </xf>
    <xf numFmtId="9" fontId="0" fillId="0" borderId="0" xfId="0" applyNumberFormat="1"/>
    <xf numFmtId="0" fontId="0" fillId="0" borderId="5" xfId="0" applyBorder="1"/>
    <xf numFmtId="3" fontId="0" fillId="0" borderId="6" xfId="0" applyNumberFormat="1" applyBorder="1" applyAlignment="1">
      <alignment horizontal="right"/>
    </xf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520700</xdr:colOff>
      <xdr:row>39</xdr:row>
      <xdr:rowOff>152400</xdr:rowOff>
    </xdr:from>
    <xdr:to>
      <xdr:col>9</xdr:col>
      <xdr:colOff>363025</xdr:colOff>
      <xdr:row>52</xdr:row>
      <xdr:rowOff>124471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AECB5D-0C7C-2544-3B51-A02E59E7A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0700" y="7210425"/>
          <a:ext cx="5328725" cy="2324746"/>
        </a:xfrm>
        <a:prstGeom prst="rect">
          <a:avLst/>
        </a:prstGeom>
      </xdr:spPr>
    </xdr:pic>
    <xdr:clientData/>
  </xdr:twoCellAnchor>
  <xdr:twoCellAnchor editAs="oneCell">
    <xdr:from>
      <xdr:col>1</xdr:col>
      <xdr:colOff>36992</xdr:colOff>
      <xdr:row>54</xdr:row>
      <xdr:rowOff>104775</xdr:rowOff>
    </xdr:from>
    <xdr:to>
      <xdr:col>15</xdr:col>
      <xdr:colOff>133382</xdr:colOff>
      <xdr:row>79</xdr:row>
      <xdr:rowOff>77871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F85CE98-A3C8-7320-2172-DD3DBA024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6592" y="9877425"/>
          <a:ext cx="8630790" cy="449747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47626</xdr:colOff>
      <xdr:row>80</xdr:row>
      <xdr:rowOff>92075</xdr:rowOff>
    </xdr:from>
    <xdr:to>
      <xdr:col>15</xdr:col>
      <xdr:colOff>473981</xdr:colOff>
      <xdr:row>109</xdr:row>
      <xdr:rowOff>77902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1C89818-6B5C-8E8B-7160-B4D399745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226" y="14570075"/>
          <a:ext cx="8960755" cy="523410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110</xdr:row>
      <xdr:rowOff>171450</xdr:rowOff>
    </xdr:from>
    <xdr:to>
      <xdr:col>15</xdr:col>
      <xdr:colOff>431732</xdr:colOff>
      <xdr:row>139</xdr:row>
      <xdr:rowOff>49358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D14E0FB-0CF2-9DCA-B87C-E829317E3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19125" y="20078700"/>
          <a:ext cx="8956607" cy="5126183"/>
        </a:xfrm>
        <a:prstGeom prst="rect">
          <a:avLst/>
        </a:prstGeom>
      </xdr:spPr>
    </xdr:pic>
    <xdr:clientData/>
  </xdr:twoCellAnchor>
  <xdr:twoCellAnchor editAs="oneCell">
    <xdr:from>
      <xdr:col>15</xdr:col>
      <xdr:colOff>523377</xdr:colOff>
      <xdr:row>35</xdr:row>
      <xdr:rowOff>73025</xdr:rowOff>
    </xdr:from>
    <xdr:to>
      <xdr:col>28</xdr:col>
      <xdr:colOff>488128</xdr:colOff>
      <xdr:row>54</xdr:row>
      <xdr:rowOff>58170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9EF8E77-5DF9-F31F-B397-C21F6B98F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67377" y="6407150"/>
          <a:ext cx="7889551" cy="342367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47143</xdr:colOff>
      <xdr:row>57</xdr:row>
      <xdr:rowOff>9524</xdr:rowOff>
    </xdr:from>
    <xdr:to>
      <xdr:col>15</xdr:col>
      <xdr:colOff>558873</xdr:colOff>
      <xdr:row>83</xdr:row>
      <xdr:rowOff>1684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3125CDD-5310-8C72-923B-6CFFFED0C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6743" y="10325099"/>
          <a:ext cx="9049305" cy="469751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84</xdr:row>
      <xdr:rowOff>25400</xdr:rowOff>
    </xdr:from>
    <xdr:to>
      <xdr:col>14</xdr:col>
      <xdr:colOff>177967</xdr:colOff>
      <xdr:row>111</xdr:row>
      <xdr:rowOff>58822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EBACAE-522B-7F97-7A15-0CFF5322C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8650" y="15227300"/>
          <a:ext cx="8086892" cy="4919747"/>
        </a:xfrm>
        <a:prstGeom prst="rect">
          <a:avLst/>
        </a:prstGeom>
      </xdr:spPr>
    </xdr:pic>
    <xdr:clientData/>
  </xdr:twoCellAnchor>
  <xdr:twoCellAnchor editAs="oneCell">
    <xdr:from>
      <xdr:col>17</xdr:col>
      <xdr:colOff>142294</xdr:colOff>
      <xdr:row>26</xdr:row>
      <xdr:rowOff>161925</xdr:rowOff>
    </xdr:from>
    <xdr:to>
      <xdr:col>32</xdr:col>
      <xdr:colOff>609097</xdr:colOff>
      <xdr:row>55</xdr:row>
      <xdr:rowOff>106219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51CD516-9231-6E72-F81A-C80B0D5BD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48294" y="4867275"/>
          <a:ext cx="9610803" cy="5192569"/>
        </a:xfrm>
        <a:prstGeom prst="rect">
          <a:avLst/>
        </a:prstGeom>
      </xdr:spPr>
    </xdr:pic>
    <xdr:clientData/>
  </xdr:twoCellAnchor>
  <xdr:twoCellAnchor editAs="oneCell">
    <xdr:from>
      <xdr:col>17</xdr:col>
      <xdr:colOff>172552</xdr:colOff>
      <xdr:row>56</xdr:row>
      <xdr:rowOff>142875</xdr:rowOff>
    </xdr:from>
    <xdr:to>
      <xdr:col>30</xdr:col>
      <xdr:colOff>466069</xdr:colOff>
      <xdr:row>83</xdr:row>
      <xdr:rowOff>172956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C169E6-7988-9AC0-3079-188257FC01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78552" y="10277475"/>
          <a:ext cx="8218317" cy="4916406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85</xdr:row>
      <xdr:rowOff>21837</xdr:rowOff>
    </xdr:from>
    <xdr:to>
      <xdr:col>31</xdr:col>
      <xdr:colOff>396876</xdr:colOff>
      <xdr:row>110</xdr:row>
      <xdr:rowOff>125311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7E9958-75E9-FBAC-EC8C-6871D3E03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029825" y="15404712"/>
          <a:ext cx="8807451" cy="4627849"/>
        </a:xfrm>
        <a:prstGeom prst="rect">
          <a:avLst/>
        </a:prstGeom>
      </xdr:spPr>
    </xdr:pic>
    <xdr:clientData/>
  </xdr:twoCellAnchor>
  <xdr:twoCellAnchor editAs="oneCell">
    <xdr:from>
      <xdr:col>17</xdr:col>
      <xdr:colOff>208705</xdr:colOff>
      <xdr:row>110</xdr:row>
      <xdr:rowOff>177800</xdr:rowOff>
    </xdr:from>
    <xdr:to>
      <xdr:col>30</xdr:col>
      <xdr:colOff>487900</xdr:colOff>
      <xdr:row>134</xdr:row>
      <xdr:rowOff>30007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B9C8E81-FBD2-1346-207B-033BB6BC8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14705" y="20085050"/>
          <a:ext cx="8203995" cy="4195607"/>
        </a:xfrm>
        <a:prstGeom prst="rect">
          <a:avLst/>
        </a:prstGeom>
      </xdr:spPr>
    </xdr:pic>
    <xdr:clientData/>
  </xdr:twoCellAnchor>
  <xdr:twoCellAnchor editAs="oneCell">
    <xdr:from>
      <xdr:col>17</xdr:col>
      <xdr:colOff>44770</xdr:colOff>
      <xdr:row>136</xdr:row>
      <xdr:rowOff>19050</xdr:rowOff>
    </xdr:from>
    <xdr:to>
      <xdr:col>33</xdr:col>
      <xdr:colOff>2739</xdr:colOff>
      <xdr:row>165</xdr:row>
      <xdr:rowOff>58640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130752E-FD42-6CEE-6CA1-0F098F6358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50770" y="24631650"/>
          <a:ext cx="9711569" cy="5287865"/>
        </a:xfrm>
        <a:prstGeom prst="rect">
          <a:avLst/>
        </a:prstGeom>
      </xdr:spPr>
    </xdr:pic>
    <xdr:clientData/>
  </xdr:twoCellAnchor>
  <xdr:twoCellAnchor editAs="oneCell">
    <xdr:from>
      <xdr:col>17</xdr:col>
      <xdr:colOff>92075</xdr:colOff>
      <xdr:row>167</xdr:row>
      <xdr:rowOff>12365</xdr:rowOff>
    </xdr:from>
    <xdr:to>
      <xdr:col>32</xdr:col>
      <xdr:colOff>107434</xdr:colOff>
      <xdr:row>194</xdr:row>
      <xdr:rowOff>87166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228B5AA-F993-4883-2327-CCA18595B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998075" y="30235190"/>
          <a:ext cx="9159359" cy="4961126"/>
        </a:xfrm>
        <a:prstGeom prst="rect">
          <a:avLst/>
        </a:prstGeom>
      </xdr:spPr>
    </xdr:pic>
    <xdr:clientData/>
  </xdr:twoCellAnchor>
  <xdr:twoCellAnchor editAs="oneCell">
    <xdr:from>
      <xdr:col>17</xdr:col>
      <xdr:colOff>161925</xdr:colOff>
      <xdr:row>195</xdr:row>
      <xdr:rowOff>170529</xdr:rowOff>
    </xdr:from>
    <xdr:to>
      <xdr:col>32</xdr:col>
      <xdr:colOff>174161</xdr:colOff>
      <xdr:row>222</xdr:row>
      <xdr:rowOff>152400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F69B475-1EF3-358F-6DB2-788178680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067925" y="35460654"/>
          <a:ext cx="9156236" cy="4868196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27</xdr:row>
      <xdr:rowOff>19049</xdr:rowOff>
    </xdr:from>
    <xdr:to>
      <xdr:col>15</xdr:col>
      <xdr:colOff>580170</xdr:colOff>
      <xdr:row>55</xdr:row>
      <xdr:rowOff>107950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BBC0D2-ED1E-43C4-9223-488964306D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49" y="4991099"/>
          <a:ext cx="9095521" cy="5245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581025</xdr:colOff>
      <xdr:row>6</xdr:row>
      <xdr:rowOff>136409</xdr:rowOff>
    </xdr:from>
    <xdr:to>
      <xdr:col>24</xdr:col>
      <xdr:colOff>238125</xdr:colOff>
      <xdr:row>23</xdr:row>
      <xdr:rowOff>172311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65E8A3E-EBDF-A431-A080-34D5E2ADA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5025" y="1222259"/>
          <a:ext cx="4686300" cy="3112477"/>
        </a:xfrm>
        <a:prstGeom prst="rect">
          <a:avLst/>
        </a:prstGeom>
      </xdr:spPr>
    </xdr:pic>
    <xdr:clientData/>
  </xdr:twoCellAnchor>
  <xdr:twoCellAnchor editAs="oneCell">
    <xdr:from>
      <xdr:col>0</xdr:col>
      <xdr:colOff>593150</xdr:colOff>
      <xdr:row>1</xdr:row>
      <xdr:rowOff>95249</xdr:rowOff>
    </xdr:from>
    <xdr:to>
      <xdr:col>14</xdr:col>
      <xdr:colOff>95250</xdr:colOff>
      <xdr:row>25</xdr:row>
      <xdr:rowOff>176221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8C022C-85EE-B403-0BCF-BB5D3331A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93150" y="279399"/>
          <a:ext cx="8036500" cy="450057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2</xdr:row>
      <xdr:rowOff>8204</xdr:rowOff>
    </xdr:from>
    <xdr:to>
      <xdr:col>16</xdr:col>
      <xdr:colOff>85569</xdr:colOff>
      <xdr:row>26</xdr:row>
      <xdr:rowOff>49067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621787-24E7-73F8-788A-9687F4DB6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" y="370154"/>
          <a:ext cx="9181944" cy="4384263"/>
        </a:xfrm>
        <a:prstGeom prst="rect">
          <a:avLst/>
        </a:prstGeom>
      </xdr:spPr>
    </xdr:pic>
    <xdr:clientData/>
  </xdr:twoCellAnchor>
  <xdr:twoCellAnchor editAs="oneCell">
    <xdr:from>
      <xdr:col>1</xdr:col>
      <xdr:colOff>84433</xdr:colOff>
      <xdr:row>27</xdr:row>
      <xdr:rowOff>34925</xdr:rowOff>
    </xdr:from>
    <xdr:to>
      <xdr:col>15</xdr:col>
      <xdr:colOff>282654</xdr:colOff>
      <xdr:row>52</xdr:row>
      <xdr:rowOff>77936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D1AD02-CC79-6968-5F30-1317AC6B8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4033" y="4921250"/>
          <a:ext cx="8732621" cy="4567386"/>
        </a:xfrm>
        <a:prstGeom prst="rect">
          <a:avLst/>
        </a:prstGeom>
      </xdr:spPr>
    </xdr:pic>
    <xdr:clientData/>
  </xdr:twoCellAnchor>
  <xdr:twoCellAnchor editAs="oneCell">
    <xdr:from>
      <xdr:col>15</xdr:col>
      <xdr:colOff>416480</xdr:colOff>
      <xdr:row>53</xdr:row>
      <xdr:rowOff>95250</xdr:rowOff>
    </xdr:from>
    <xdr:to>
      <xdr:col>30</xdr:col>
      <xdr:colOff>19050</xdr:colOff>
      <xdr:row>78</xdr:row>
      <xdr:rowOff>57443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98997B-883F-07ED-6BE0-431DB301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60480" y="9686925"/>
          <a:ext cx="8746570" cy="4486568"/>
        </a:xfrm>
        <a:prstGeom prst="rect">
          <a:avLst/>
        </a:prstGeom>
      </xdr:spPr>
    </xdr:pic>
    <xdr:clientData/>
  </xdr:twoCellAnchor>
  <xdr:twoCellAnchor editAs="oneCell">
    <xdr:from>
      <xdr:col>1</xdr:col>
      <xdr:colOff>151722</xdr:colOff>
      <xdr:row>53</xdr:row>
      <xdr:rowOff>114300</xdr:rowOff>
    </xdr:from>
    <xdr:to>
      <xdr:col>15</xdr:col>
      <xdr:colOff>37964</xdr:colOff>
      <xdr:row>78</xdr:row>
      <xdr:rowOff>87348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CD26BEB-12FF-A475-40C6-E801D4F48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1322" y="9705975"/>
          <a:ext cx="8420642" cy="4497423"/>
        </a:xfrm>
        <a:prstGeom prst="rect">
          <a:avLst/>
        </a:prstGeom>
      </xdr:spPr>
    </xdr:pic>
    <xdr:clientData/>
  </xdr:twoCellAnchor>
  <xdr:twoCellAnchor editAs="oneCell">
    <xdr:from>
      <xdr:col>30</xdr:col>
      <xdr:colOff>256957</xdr:colOff>
      <xdr:row>53</xdr:row>
      <xdr:rowOff>76199</xdr:rowOff>
    </xdr:from>
    <xdr:to>
      <xdr:col>44</xdr:col>
      <xdr:colOff>57187</xdr:colOff>
      <xdr:row>77</xdr:row>
      <xdr:rowOff>125518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94F7581-30A7-4C36-08FE-A162A09DD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544957" y="9667874"/>
          <a:ext cx="8334630" cy="4392719"/>
        </a:xfrm>
        <a:prstGeom prst="rect">
          <a:avLst/>
        </a:prstGeom>
      </xdr:spPr>
    </xdr:pic>
    <xdr:clientData/>
  </xdr:twoCellAnchor>
  <xdr:twoCellAnchor editAs="oneCell">
    <xdr:from>
      <xdr:col>1</xdr:col>
      <xdr:colOff>197161</xdr:colOff>
      <xdr:row>79</xdr:row>
      <xdr:rowOff>143621</xdr:rowOff>
    </xdr:from>
    <xdr:to>
      <xdr:col>14</xdr:col>
      <xdr:colOff>400050</xdr:colOff>
      <xdr:row>104</xdr:row>
      <xdr:rowOff>77945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FD0495E-E464-826A-CEF0-DA2442E0A1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6761" y="14440646"/>
          <a:ext cx="8127689" cy="4458699"/>
        </a:xfrm>
        <a:prstGeom prst="rect">
          <a:avLst/>
        </a:prstGeom>
      </xdr:spPr>
    </xdr:pic>
    <xdr:clientData/>
  </xdr:twoCellAnchor>
  <xdr:twoCellAnchor editAs="oneCell">
    <xdr:from>
      <xdr:col>15</xdr:col>
      <xdr:colOff>582040</xdr:colOff>
      <xdr:row>79</xdr:row>
      <xdr:rowOff>136524</xdr:rowOff>
    </xdr:from>
    <xdr:to>
      <xdr:col>29</xdr:col>
      <xdr:colOff>593657</xdr:colOff>
      <xdr:row>105</xdr:row>
      <xdr:rowOff>135059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768F1-600E-F032-332A-A32AF7F73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726040" y="14433549"/>
          <a:ext cx="8546017" cy="4703885"/>
        </a:xfrm>
        <a:prstGeom prst="rect">
          <a:avLst/>
        </a:prstGeom>
      </xdr:spPr>
    </xdr:pic>
    <xdr:clientData/>
  </xdr:twoCellAnchor>
  <xdr:twoCellAnchor editAs="oneCell">
    <xdr:from>
      <xdr:col>30</xdr:col>
      <xdr:colOff>431215</xdr:colOff>
      <xdr:row>80</xdr:row>
      <xdr:rowOff>3174</xdr:rowOff>
    </xdr:from>
    <xdr:to>
      <xdr:col>44</xdr:col>
      <xdr:colOff>342941</xdr:colOff>
      <xdr:row>103</xdr:row>
      <xdr:rowOff>96871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278E13-A41A-5E48-1CE8-8E7C56B1E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719215" y="14481174"/>
          <a:ext cx="8446126" cy="425612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561976</xdr:colOff>
      <xdr:row>1</xdr:row>
      <xdr:rowOff>171450</xdr:rowOff>
    </xdr:from>
    <xdr:to>
      <xdr:col>11</xdr:col>
      <xdr:colOff>288908</xdr:colOff>
      <xdr:row>21</xdr:row>
      <xdr:rowOff>115699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F2B379F-44DD-A792-057F-07751B7DE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976" y="352425"/>
          <a:ext cx="6432532" cy="3563749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22</xdr:row>
      <xdr:rowOff>120650</xdr:rowOff>
    </xdr:from>
    <xdr:to>
      <xdr:col>12</xdr:col>
      <xdr:colOff>228232</xdr:colOff>
      <xdr:row>54</xdr:row>
      <xdr:rowOff>11217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90FCD7-3A28-B170-46CC-E620582C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1" y="4102100"/>
          <a:ext cx="6857631" cy="5681767"/>
        </a:xfrm>
        <a:prstGeom prst="rect">
          <a:avLst/>
        </a:prstGeom>
      </xdr:spPr>
    </xdr:pic>
    <xdr:clientData/>
  </xdr:twoCellAnchor>
  <xdr:twoCellAnchor editAs="oneCell">
    <xdr:from>
      <xdr:col>12</xdr:col>
      <xdr:colOff>341559</xdr:colOff>
      <xdr:row>1</xdr:row>
      <xdr:rowOff>117474</xdr:rowOff>
    </xdr:from>
    <xdr:to>
      <xdr:col>23</xdr:col>
      <xdr:colOff>460374</xdr:colOff>
      <xdr:row>26</xdr:row>
      <xdr:rowOff>180314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D7D226F-18B3-42D9-D12C-95A37D871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56759" y="298449"/>
          <a:ext cx="6824415" cy="4587215"/>
        </a:xfrm>
        <a:prstGeom prst="rect">
          <a:avLst/>
        </a:prstGeom>
      </xdr:spPr>
    </xdr:pic>
    <xdr:clientData/>
  </xdr:twoCellAnchor>
  <xdr:twoCellAnchor editAs="oneCell">
    <xdr:from>
      <xdr:col>12</xdr:col>
      <xdr:colOff>571500</xdr:colOff>
      <xdr:row>27</xdr:row>
      <xdr:rowOff>111125</xdr:rowOff>
    </xdr:from>
    <xdr:to>
      <xdr:col>24</xdr:col>
      <xdr:colOff>27</xdr:colOff>
      <xdr:row>56</xdr:row>
      <xdr:rowOff>96873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B237569-0590-D14A-7919-9C0F646AA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86700" y="4997450"/>
          <a:ext cx="6743727" cy="523402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6A8B5B-19FB-41D7-9B5C-68392A4C880A}">
  <dimension ref="B2:Q37"/>
  <sheetViews>
    <sheetView topLeftCell="A40" workbookViewId="0">
      <selection activeCell="F13" sqref="F13"/>
    </sheetView>
  </sheetViews>
  <sheetFormatPr defaultRowHeight="14.5" x14ac:dyDescent="0.35"/>
  <sheetData>
    <row r="2" spans="2:17" x14ac:dyDescent="0.35">
      <c r="Q2" t="s">
        <v>17</v>
      </c>
    </row>
    <row r="4" spans="2:17" x14ac:dyDescent="0.35">
      <c r="Q4" t="s">
        <v>18</v>
      </c>
    </row>
    <row r="5" spans="2:17" x14ac:dyDescent="0.35">
      <c r="B5" t="s">
        <v>0</v>
      </c>
      <c r="Q5" t="s">
        <v>19</v>
      </c>
    </row>
    <row r="6" spans="2:17" x14ac:dyDescent="0.35">
      <c r="B6" t="s">
        <v>16</v>
      </c>
    </row>
    <row r="7" spans="2:17" x14ac:dyDescent="0.35">
      <c r="Q7" t="s">
        <v>20</v>
      </c>
    </row>
    <row r="8" spans="2:17" x14ac:dyDescent="0.35">
      <c r="Q8" t="s">
        <v>21</v>
      </c>
    </row>
    <row r="10" spans="2:17" x14ac:dyDescent="0.35">
      <c r="Q10" t="s">
        <v>22</v>
      </c>
    </row>
    <row r="11" spans="2:17" x14ac:dyDescent="0.35">
      <c r="B11" t="s">
        <v>1</v>
      </c>
    </row>
    <row r="13" spans="2:17" x14ac:dyDescent="0.35">
      <c r="B13" t="s">
        <v>2</v>
      </c>
      <c r="Q13" t="s">
        <v>28</v>
      </c>
    </row>
    <row r="14" spans="2:17" x14ac:dyDescent="0.35">
      <c r="B14" t="s">
        <v>3</v>
      </c>
      <c r="Q14" t="s">
        <v>29</v>
      </c>
    </row>
    <row r="15" spans="2:17" x14ac:dyDescent="0.35">
      <c r="B15" t="s">
        <v>4</v>
      </c>
    </row>
    <row r="18" spans="2:2" x14ac:dyDescent="0.35">
      <c r="B18" t="s">
        <v>5</v>
      </c>
    </row>
    <row r="19" spans="2:2" x14ac:dyDescent="0.35">
      <c r="B19" t="s">
        <v>6</v>
      </c>
    </row>
    <row r="20" spans="2:2" x14ac:dyDescent="0.35">
      <c r="B20" t="s">
        <v>7</v>
      </c>
    </row>
    <row r="21" spans="2:2" x14ac:dyDescent="0.35">
      <c r="B21" t="s">
        <v>8</v>
      </c>
    </row>
    <row r="24" spans="2:2" x14ac:dyDescent="0.35">
      <c r="B24" t="s">
        <v>9</v>
      </c>
    </row>
    <row r="25" spans="2:2" x14ac:dyDescent="0.35">
      <c r="B25" t="s">
        <v>10</v>
      </c>
    </row>
    <row r="27" spans="2:2" x14ac:dyDescent="0.35">
      <c r="B27" t="s">
        <v>11</v>
      </c>
    </row>
    <row r="28" spans="2:2" x14ac:dyDescent="0.35">
      <c r="B28" t="s">
        <v>12</v>
      </c>
    </row>
    <row r="29" spans="2:2" x14ac:dyDescent="0.35">
      <c r="B29" t="s">
        <v>13</v>
      </c>
    </row>
    <row r="30" spans="2:2" x14ac:dyDescent="0.35">
      <c r="B30" t="s">
        <v>14</v>
      </c>
    </row>
    <row r="32" spans="2:2" x14ac:dyDescent="0.35">
      <c r="B32" t="s">
        <v>15</v>
      </c>
    </row>
    <row r="34" spans="2:2" x14ac:dyDescent="0.35">
      <c r="B34" t="s">
        <v>23</v>
      </c>
    </row>
    <row r="35" spans="2:2" x14ac:dyDescent="0.35">
      <c r="B35" t="s">
        <v>24</v>
      </c>
    </row>
    <row r="36" spans="2:2" x14ac:dyDescent="0.35">
      <c r="B36" t="s">
        <v>25</v>
      </c>
    </row>
    <row r="37" spans="2:2" x14ac:dyDescent="0.35">
      <c r="B37" t="s">
        <v>26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92F31F-7432-498B-902B-92B9F4D1680B}">
  <dimension ref="B4:G10"/>
  <sheetViews>
    <sheetView workbookViewId="0">
      <selection activeCell="D23" sqref="D23"/>
    </sheetView>
  </sheetViews>
  <sheetFormatPr defaultRowHeight="14.5" x14ac:dyDescent="0.35"/>
  <sheetData>
    <row r="4" spans="2:7" x14ac:dyDescent="0.35">
      <c r="B4" s="14" t="s">
        <v>78</v>
      </c>
      <c r="C4" s="14" t="s">
        <v>77</v>
      </c>
      <c r="D4" s="14" t="s">
        <v>73</v>
      </c>
      <c r="E4" s="14" t="s">
        <v>75</v>
      </c>
      <c r="F4" s="14" t="s">
        <v>74</v>
      </c>
      <c r="G4" s="14" t="s">
        <v>76</v>
      </c>
    </row>
    <row r="5" spans="2:7" x14ac:dyDescent="0.35">
      <c r="B5" t="s">
        <v>84</v>
      </c>
      <c r="C5">
        <v>1</v>
      </c>
      <c r="D5" t="s">
        <v>31</v>
      </c>
      <c r="F5">
        <v>77</v>
      </c>
    </row>
    <row r="6" spans="2:7" x14ac:dyDescent="0.35">
      <c r="B6" t="s">
        <v>79</v>
      </c>
    </row>
    <row r="7" spans="2:7" x14ac:dyDescent="0.35">
      <c r="B7" t="s">
        <v>80</v>
      </c>
    </row>
    <row r="8" spans="2:7" x14ac:dyDescent="0.35">
      <c r="B8" t="s">
        <v>81</v>
      </c>
    </row>
    <row r="9" spans="2:7" x14ac:dyDescent="0.35">
      <c r="B9" t="s">
        <v>82</v>
      </c>
    </row>
    <row r="10" spans="2:7" x14ac:dyDescent="0.35">
      <c r="B10" t="s">
        <v>83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7BFF94-18E2-4348-85FE-037F52D5A3EF}">
  <dimension ref="R4:R6"/>
  <sheetViews>
    <sheetView topLeftCell="B16" workbookViewId="0">
      <selection activeCell="D131" sqref="D131"/>
    </sheetView>
  </sheetViews>
  <sheetFormatPr defaultRowHeight="14.5" x14ac:dyDescent="0.35"/>
  <cols>
    <col min="17" max="17" width="2.1796875" customWidth="1"/>
  </cols>
  <sheetData>
    <row r="4" spans="18:18" x14ac:dyDescent="0.35">
      <c r="R4" t="s">
        <v>38</v>
      </c>
    </row>
    <row r="5" spans="18:18" x14ac:dyDescent="0.35">
      <c r="R5" t="s">
        <v>39</v>
      </c>
    </row>
    <row r="6" spans="18:18" x14ac:dyDescent="0.35">
      <c r="R6" t="s">
        <v>40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99518D-C922-4DBC-946F-CF0FBAC9BDC5}">
  <dimension ref="A4:A8"/>
  <sheetViews>
    <sheetView tabSelected="1" workbookViewId="0">
      <selection activeCell="A10" sqref="A10"/>
    </sheetView>
  </sheetViews>
  <sheetFormatPr defaultRowHeight="14.5" x14ac:dyDescent="0.35"/>
  <sheetData>
    <row r="4" spans="1:1" x14ac:dyDescent="0.35">
      <c r="A4" t="s">
        <v>85</v>
      </c>
    </row>
    <row r="6" spans="1:1" x14ac:dyDescent="0.35">
      <c r="A6" t="s">
        <v>86</v>
      </c>
    </row>
    <row r="8" spans="1:1" x14ac:dyDescent="0.35">
      <c r="A8" t="s">
        <v>87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BE9C7D-16A7-40A2-A929-B9E7D24C659D}">
  <dimension ref="A1"/>
  <sheetViews>
    <sheetView workbookViewId="0">
      <selection activeCell="Q44" sqref="Q44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F3114C-8D50-4B28-9EED-B07422C524E3}">
  <dimension ref="B60:F64"/>
  <sheetViews>
    <sheetView workbookViewId="0">
      <selection activeCell="F63" sqref="F63"/>
    </sheetView>
  </sheetViews>
  <sheetFormatPr defaultRowHeight="14.5" x14ac:dyDescent="0.35"/>
  <sheetData>
    <row r="60" spans="2:6" x14ac:dyDescent="0.35">
      <c r="B60" t="s">
        <v>30</v>
      </c>
      <c r="D60" t="s">
        <v>33</v>
      </c>
      <c r="F60" t="s">
        <v>36</v>
      </c>
    </row>
    <row r="62" spans="2:6" x14ac:dyDescent="0.35">
      <c r="B62" t="s">
        <v>31</v>
      </c>
      <c r="D62" t="s">
        <v>34</v>
      </c>
      <c r="F62" t="s">
        <v>37</v>
      </c>
    </row>
    <row r="63" spans="2:6" x14ac:dyDescent="0.35">
      <c r="B63" t="s">
        <v>32</v>
      </c>
    </row>
    <row r="64" spans="2:6" x14ac:dyDescent="0.35">
      <c r="B64" t="s">
        <v>35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474FC-EF39-41B5-A35E-30007BF42860}">
  <dimension ref="A1:AG15"/>
  <sheetViews>
    <sheetView workbookViewId="0">
      <selection activeCell="F22" sqref="F22"/>
    </sheetView>
  </sheetViews>
  <sheetFormatPr defaultRowHeight="14.5" x14ac:dyDescent="0.35"/>
  <sheetData>
    <row r="1" spans="1:33" x14ac:dyDescent="0.35">
      <c r="A1" t="s">
        <v>27</v>
      </c>
    </row>
    <row r="2" spans="1:33" x14ac:dyDescent="0.35">
      <c r="B2" t="s">
        <v>72</v>
      </c>
    </row>
    <row r="3" spans="1:33" ht="15" thickBot="1" x14ac:dyDescent="0.4">
      <c r="B3" s="1" t="s">
        <v>41</v>
      </c>
      <c r="C3" s="1"/>
      <c r="D3" s="1" t="s">
        <v>42</v>
      </c>
      <c r="E3" s="1" t="s">
        <v>43</v>
      </c>
      <c r="F3" s="1" t="s">
        <v>44</v>
      </c>
      <c r="G3" s="1" t="s">
        <v>45</v>
      </c>
      <c r="H3" s="1" t="s">
        <v>46</v>
      </c>
      <c r="I3" s="1" t="s">
        <v>47</v>
      </c>
      <c r="J3" s="1" t="s">
        <v>48</v>
      </c>
      <c r="K3" s="1" t="s">
        <v>49</v>
      </c>
      <c r="L3" s="1" t="s">
        <v>50</v>
      </c>
      <c r="M3" s="2" t="s">
        <v>51</v>
      </c>
      <c r="N3" s="2">
        <f>M3+1</f>
        <v>2023</v>
      </c>
      <c r="O3" s="2">
        <f t="shared" ref="O3:AD3" si="0">N3+1</f>
        <v>2024</v>
      </c>
      <c r="P3" s="2">
        <f t="shared" si="0"/>
        <v>2025</v>
      </c>
      <c r="Q3" s="2">
        <f t="shared" si="0"/>
        <v>2026</v>
      </c>
      <c r="R3" s="2">
        <f t="shared" si="0"/>
        <v>2027</v>
      </c>
      <c r="S3" s="2">
        <f t="shared" si="0"/>
        <v>2028</v>
      </c>
      <c r="T3" s="2">
        <f t="shared" si="0"/>
        <v>2029</v>
      </c>
      <c r="U3" s="2">
        <f t="shared" si="0"/>
        <v>2030</v>
      </c>
      <c r="V3" s="2">
        <f t="shared" si="0"/>
        <v>2031</v>
      </c>
      <c r="W3" s="2">
        <f t="shared" si="0"/>
        <v>2032</v>
      </c>
      <c r="X3" s="2">
        <f t="shared" si="0"/>
        <v>2033</v>
      </c>
      <c r="Y3" s="2">
        <f t="shared" si="0"/>
        <v>2034</v>
      </c>
      <c r="Z3" s="2">
        <f t="shared" si="0"/>
        <v>2035</v>
      </c>
      <c r="AA3" s="2">
        <f t="shared" si="0"/>
        <v>2036</v>
      </c>
      <c r="AB3" s="2">
        <f t="shared" si="0"/>
        <v>2037</v>
      </c>
      <c r="AC3" s="2">
        <f t="shared" si="0"/>
        <v>2038</v>
      </c>
      <c r="AD3" s="2">
        <f t="shared" si="0"/>
        <v>2039</v>
      </c>
      <c r="AE3" s="1" t="s">
        <v>52</v>
      </c>
    </row>
    <row r="4" spans="1:33" x14ac:dyDescent="0.35">
      <c r="B4" t="s">
        <v>70</v>
      </c>
      <c r="D4" t="s">
        <v>71</v>
      </c>
      <c r="E4" t="s">
        <v>53</v>
      </c>
      <c r="F4">
        <v>2039</v>
      </c>
      <c r="G4" s="3">
        <v>0.8</v>
      </c>
      <c r="H4" t="s">
        <v>54</v>
      </c>
      <c r="J4" s="4"/>
      <c r="M4" s="5">
        <v>0</v>
      </c>
      <c r="N4" s="6">
        <v>0</v>
      </c>
      <c r="O4" s="7">
        <v>0</v>
      </c>
      <c r="P4" s="7">
        <v>0</v>
      </c>
      <c r="Q4" s="7">
        <v>5000</v>
      </c>
      <c r="R4" s="7">
        <f>Q4*1.3</f>
        <v>6500</v>
      </c>
      <c r="S4" s="7">
        <f>R4*1.3</f>
        <v>8450</v>
      </c>
      <c r="T4" s="7">
        <f>S4*1.2</f>
        <v>10140</v>
      </c>
      <c r="U4" s="7">
        <v>375000</v>
      </c>
      <c r="V4" s="7">
        <f>U4*1.03</f>
        <v>386250</v>
      </c>
      <c r="W4" s="7">
        <f>V4*1.03</f>
        <v>397837.5</v>
      </c>
      <c r="X4" s="7">
        <f>W4*0.97</f>
        <v>385902.375</v>
      </c>
      <c r="Y4" s="7">
        <f t="shared" ref="Y4:AD5" si="1">X4*0.97</f>
        <v>374325.30374999996</v>
      </c>
      <c r="Z4" s="7">
        <f t="shared" si="1"/>
        <v>363095.54463749996</v>
      </c>
      <c r="AA4" s="7">
        <f t="shared" si="1"/>
        <v>352202.67829837493</v>
      </c>
      <c r="AB4" s="7">
        <f t="shared" si="1"/>
        <v>341636.59794942365</v>
      </c>
      <c r="AC4" s="7">
        <f t="shared" si="1"/>
        <v>331387.50001094094</v>
      </c>
      <c r="AD4" s="7">
        <f t="shared" si="1"/>
        <v>321445.87501061271</v>
      </c>
      <c r="AE4" s="8"/>
    </row>
    <row r="5" spans="1:33" x14ac:dyDescent="0.35">
      <c r="B5" t="s">
        <v>70</v>
      </c>
      <c r="D5" t="s">
        <v>71</v>
      </c>
      <c r="E5" t="s">
        <v>55</v>
      </c>
      <c r="F5">
        <v>2039</v>
      </c>
      <c r="G5" s="3">
        <v>0.8</v>
      </c>
      <c r="H5" t="s">
        <v>54</v>
      </c>
      <c r="J5" s="4"/>
      <c r="M5" s="5">
        <v>50</v>
      </c>
      <c r="N5" s="9">
        <v>0</v>
      </c>
      <c r="O5" s="5">
        <v>0</v>
      </c>
      <c r="P5" s="5">
        <v>0</v>
      </c>
      <c r="Q5" s="5">
        <f>R5*0.5</f>
        <v>10937.5</v>
      </c>
      <c r="R5" s="5">
        <f>S5*0.5</f>
        <v>21875</v>
      </c>
      <c r="S5" s="5">
        <f>T5*0.5</f>
        <v>43750</v>
      </c>
      <c r="T5" s="5">
        <f>U5*0.5</f>
        <v>87500</v>
      </c>
      <c r="U5" s="5">
        <v>175000</v>
      </c>
      <c r="V5" s="5">
        <f>U5*1.03</f>
        <v>180250</v>
      </c>
      <c r="W5" s="5">
        <f>V5*1.03</f>
        <v>185657.5</v>
      </c>
      <c r="X5" s="5">
        <f>W5*0.97</f>
        <v>180087.77499999999</v>
      </c>
      <c r="Y5" s="5">
        <f t="shared" si="1"/>
        <v>174685.14174999998</v>
      </c>
      <c r="Z5" s="5">
        <f t="shared" si="1"/>
        <v>169444.58749749998</v>
      </c>
      <c r="AA5" s="5">
        <f t="shared" si="1"/>
        <v>164361.24987257496</v>
      </c>
      <c r="AB5" s="5">
        <f t="shared" si="1"/>
        <v>159430.4123763977</v>
      </c>
      <c r="AC5" s="5">
        <f t="shared" si="1"/>
        <v>154647.50000510577</v>
      </c>
      <c r="AD5" s="5">
        <f t="shared" si="1"/>
        <v>150008.07500495258</v>
      </c>
      <c r="AE5" s="8"/>
    </row>
    <row r="6" spans="1:33" ht="15" thickBot="1" x14ac:dyDescent="0.4">
      <c r="B6" t="s">
        <v>70</v>
      </c>
      <c r="D6" t="s">
        <v>71</v>
      </c>
      <c r="E6" t="s">
        <v>56</v>
      </c>
      <c r="F6">
        <v>2039</v>
      </c>
      <c r="G6" s="3">
        <v>0.8</v>
      </c>
      <c r="H6" t="s">
        <v>54</v>
      </c>
      <c r="J6" s="4"/>
      <c r="M6" s="5">
        <v>50</v>
      </c>
      <c r="N6" s="10">
        <v>0</v>
      </c>
      <c r="O6" s="10">
        <v>0</v>
      </c>
      <c r="P6" s="10">
        <f t="shared" ref="P6:AD6" si="2">P5+P4</f>
        <v>0</v>
      </c>
      <c r="Q6" s="10">
        <f t="shared" si="2"/>
        <v>15937.5</v>
      </c>
      <c r="R6" s="10">
        <f t="shared" si="2"/>
        <v>28375</v>
      </c>
      <c r="S6" s="10">
        <f t="shared" si="2"/>
        <v>52200</v>
      </c>
      <c r="T6" s="10">
        <f t="shared" si="2"/>
        <v>97640</v>
      </c>
      <c r="U6" s="10">
        <f t="shared" si="2"/>
        <v>550000</v>
      </c>
      <c r="V6" s="10">
        <f t="shared" si="2"/>
        <v>566500</v>
      </c>
      <c r="W6" s="10">
        <f t="shared" si="2"/>
        <v>583495</v>
      </c>
      <c r="X6" s="10">
        <f t="shared" si="2"/>
        <v>565990.15</v>
      </c>
      <c r="Y6" s="10">
        <f t="shared" si="2"/>
        <v>549010.44549999991</v>
      </c>
      <c r="Z6" s="10">
        <f t="shared" si="2"/>
        <v>532540.13213499996</v>
      </c>
      <c r="AA6" s="10">
        <f t="shared" si="2"/>
        <v>516563.92817094992</v>
      </c>
      <c r="AB6" s="10">
        <f t="shared" si="2"/>
        <v>501067.01032582135</v>
      </c>
      <c r="AC6" s="10">
        <f t="shared" si="2"/>
        <v>486035.00001604669</v>
      </c>
      <c r="AD6" s="10">
        <f t="shared" si="2"/>
        <v>471453.95001556526</v>
      </c>
      <c r="AE6" s="8"/>
    </row>
    <row r="7" spans="1:33" x14ac:dyDescent="0.35">
      <c r="G7" s="3"/>
      <c r="H7" t="s">
        <v>57</v>
      </c>
      <c r="I7" t="s">
        <v>58</v>
      </c>
      <c r="J7" s="4">
        <v>1</v>
      </c>
      <c r="M7" s="5"/>
      <c r="N7" s="5">
        <f>N6</f>
        <v>0</v>
      </c>
      <c r="O7" s="5">
        <f t="shared" ref="O7:AD7" si="3">O6</f>
        <v>0</v>
      </c>
      <c r="P7" s="5">
        <f t="shared" si="3"/>
        <v>0</v>
      </c>
      <c r="Q7" s="5">
        <f t="shared" si="3"/>
        <v>15937.5</v>
      </c>
      <c r="R7" s="5">
        <f t="shared" si="3"/>
        <v>28375</v>
      </c>
      <c r="S7" s="5">
        <f t="shared" si="3"/>
        <v>52200</v>
      </c>
      <c r="T7" s="5">
        <f t="shared" si="3"/>
        <v>97640</v>
      </c>
      <c r="U7" s="5">
        <f t="shared" si="3"/>
        <v>550000</v>
      </c>
      <c r="V7" s="5">
        <f t="shared" si="3"/>
        <v>566500</v>
      </c>
      <c r="W7" s="5">
        <f t="shared" si="3"/>
        <v>583495</v>
      </c>
      <c r="X7" s="5">
        <f t="shared" si="3"/>
        <v>565990.15</v>
      </c>
      <c r="Y7" s="5">
        <f t="shared" si="3"/>
        <v>549010.44549999991</v>
      </c>
      <c r="Z7" s="5">
        <f t="shared" si="3"/>
        <v>532540.13213499996</v>
      </c>
      <c r="AA7" s="5">
        <f t="shared" si="3"/>
        <v>516563.92817094992</v>
      </c>
      <c r="AB7" s="5">
        <f t="shared" si="3"/>
        <v>501067.01032582135</v>
      </c>
      <c r="AC7" s="5">
        <f t="shared" si="3"/>
        <v>486035.00001604669</v>
      </c>
      <c r="AD7" s="5">
        <f t="shared" si="3"/>
        <v>471453.95001556526</v>
      </c>
      <c r="AE7" s="8"/>
    </row>
    <row r="8" spans="1:33" x14ac:dyDescent="0.35">
      <c r="G8" s="3"/>
      <c r="H8" t="s">
        <v>57</v>
      </c>
      <c r="I8" t="s">
        <v>59</v>
      </c>
      <c r="J8" s="4">
        <v>0.27</v>
      </c>
      <c r="M8" s="5"/>
      <c r="N8" s="5">
        <f>N7*$J$9</f>
        <v>0</v>
      </c>
      <c r="O8" s="5">
        <f>O7*$J$8</f>
        <v>0</v>
      </c>
      <c r="P8" s="5">
        <f t="shared" ref="P8:AD8" si="4">P7*$J$8</f>
        <v>0</v>
      </c>
      <c r="Q8" s="5">
        <f t="shared" si="4"/>
        <v>4303.125</v>
      </c>
      <c r="R8" s="5">
        <f t="shared" si="4"/>
        <v>7661.2500000000009</v>
      </c>
      <c r="S8" s="5">
        <f t="shared" si="4"/>
        <v>14094.000000000002</v>
      </c>
      <c r="T8" s="5">
        <f t="shared" si="4"/>
        <v>26362.800000000003</v>
      </c>
      <c r="U8" s="5">
        <f t="shared" si="4"/>
        <v>148500</v>
      </c>
      <c r="V8" s="5">
        <f t="shared" si="4"/>
        <v>152955</v>
      </c>
      <c r="W8" s="5">
        <f t="shared" si="4"/>
        <v>157543.65000000002</v>
      </c>
      <c r="X8" s="5">
        <f t="shared" si="4"/>
        <v>152817.34050000002</v>
      </c>
      <c r="Y8" s="5">
        <f t="shared" si="4"/>
        <v>148232.82028499999</v>
      </c>
      <c r="Z8" s="5">
        <f t="shared" si="4"/>
        <v>143785.83567644999</v>
      </c>
      <c r="AA8" s="5">
        <f t="shared" si="4"/>
        <v>139472.26060615649</v>
      </c>
      <c r="AB8" s="5">
        <f t="shared" si="4"/>
        <v>135288.09278797178</v>
      </c>
      <c r="AC8" s="5">
        <f t="shared" si="4"/>
        <v>131229.45000433261</v>
      </c>
      <c r="AD8" s="5">
        <f t="shared" si="4"/>
        <v>127292.56650420262</v>
      </c>
      <c r="AE8" s="8"/>
    </row>
    <row r="9" spans="1:33" x14ac:dyDescent="0.35">
      <c r="G9" s="3"/>
      <c r="H9" t="s">
        <v>57</v>
      </c>
      <c r="I9" t="s">
        <v>60</v>
      </c>
      <c r="J9" s="4">
        <v>0.20599999999999999</v>
      </c>
      <c r="M9" s="5"/>
      <c r="N9" s="5">
        <f>N7*$J$9</f>
        <v>0</v>
      </c>
      <c r="O9" s="5">
        <f t="shared" ref="O9:AD9" si="5">O7*$J$9</f>
        <v>0</v>
      </c>
      <c r="P9" s="5">
        <f t="shared" si="5"/>
        <v>0</v>
      </c>
      <c r="Q9" s="5">
        <f t="shared" si="5"/>
        <v>3283.125</v>
      </c>
      <c r="R9" s="5">
        <f>R7*$J$9</f>
        <v>5845.25</v>
      </c>
      <c r="S9" s="5">
        <f t="shared" si="5"/>
        <v>10753.199999999999</v>
      </c>
      <c r="T9" s="5">
        <f t="shared" si="5"/>
        <v>20113.84</v>
      </c>
      <c r="U9" s="5">
        <f t="shared" si="5"/>
        <v>113300</v>
      </c>
      <c r="V9" s="5">
        <f t="shared" si="5"/>
        <v>116699</v>
      </c>
      <c r="W9" s="5">
        <f t="shared" si="5"/>
        <v>120199.96999999999</v>
      </c>
      <c r="X9" s="5">
        <f t="shared" si="5"/>
        <v>116593.9709</v>
      </c>
      <c r="Y9" s="5">
        <f t="shared" si="5"/>
        <v>113096.15177299998</v>
      </c>
      <c r="Z9" s="5">
        <f t="shared" si="5"/>
        <v>109703.26721980999</v>
      </c>
      <c r="AA9" s="5">
        <f t="shared" si="5"/>
        <v>106412.16920321567</v>
      </c>
      <c r="AB9" s="5">
        <f t="shared" si="5"/>
        <v>103219.80412711919</v>
      </c>
      <c r="AC9" s="5">
        <f t="shared" si="5"/>
        <v>100123.21000330562</v>
      </c>
      <c r="AD9" s="5">
        <f t="shared" si="5"/>
        <v>97119.513703206438</v>
      </c>
      <c r="AE9" s="8"/>
    </row>
    <row r="10" spans="1:33" x14ac:dyDescent="0.35">
      <c r="G10" s="3"/>
      <c r="H10" t="s">
        <v>57</v>
      </c>
      <c r="I10" t="s">
        <v>61</v>
      </c>
      <c r="J10" s="4"/>
      <c r="M10" s="5"/>
      <c r="N10" s="5">
        <v>0</v>
      </c>
      <c r="O10" s="5">
        <v>40000</v>
      </c>
      <c r="P10" s="5">
        <v>25000</v>
      </c>
      <c r="Q10" s="5">
        <v>0</v>
      </c>
      <c r="R10" s="5">
        <v>0</v>
      </c>
      <c r="S10" s="5">
        <v>0</v>
      </c>
      <c r="T10" s="5">
        <v>0</v>
      </c>
      <c r="U10" s="5">
        <v>0</v>
      </c>
      <c r="V10" s="5">
        <v>0</v>
      </c>
      <c r="W10" s="5">
        <v>0</v>
      </c>
      <c r="X10" s="5">
        <v>0</v>
      </c>
      <c r="Y10" s="5">
        <v>0</v>
      </c>
      <c r="Z10" s="5">
        <v>0</v>
      </c>
      <c r="AA10" s="5">
        <v>0</v>
      </c>
      <c r="AB10" s="5">
        <v>0</v>
      </c>
      <c r="AC10" s="5">
        <v>0</v>
      </c>
      <c r="AD10" s="5">
        <v>0</v>
      </c>
      <c r="AE10" s="8"/>
    </row>
    <row r="11" spans="1:33" x14ac:dyDescent="0.35">
      <c r="G11" s="3"/>
      <c r="H11" t="s">
        <v>57</v>
      </c>
      <c r="I11" t="s">
        <v>62</v>
      </c>
      <c r="J11" s="4">
        <v>1.6E-2</v>
      </c>
      <c r="M11" s="5"/>
      <c r="N11" s="5">
        <f>N7*$J$411</f>
        <v>0</v>
      </c>
      <c r="O11" s="5">
        <f t="shared" ref="O11:AD11" si="6">O7*K11</f>
        <v>0</v>
      </c>
      <c r="P11" s="5">
        <f t="shared" si="6"/>
        <v>0</v>
      </c>
      <c r="Q11" s="5">
        <f t="shared" si="6"/>
        <v>0</v>
      </c>
      <c r="R11" s="5">
        <f>R7*N11</f>
        <v>0</v>
      </c>
      <c r="S11" s="5">
        <f t="shared" si="6"/>
        <v>0</v>
      </c>
      <c r="T11" s="5">
        <f t="shared" si="6"/>
        <v>0</v>
      </c>
      <c r="U11" s="5">
        <f t="shared" si="6"/>
        <v>0</v>
      </c>
      <c r="V11" s="5">
        <f t="shared" si="6"/>
        <v>0</v>
      </c>
      <c r="W11" s="5">
        <f t="shared" si="6"/>
        <v>0</v>
      </c>
      <c r="X11" s="5">
        <f t="shared" si="6"/>
        <v>0</v>
      </c>
      <c r="Y11" s="5">
        <f t="shared" si="6"/>
        <v>0</v>
      </c>
      <c r="Z11" s="5">
        <f t="shared" si="6"/>
        <v>0</v>
      </c>
      <c r="AA11" s="5">
        <f t="shared" si="6"/>
        <v>0</v>
      </c>
      <c r="AB11" s="5">
        <f t="shared" si="6"/>
        <v>0</v>
      </c>
      <c r="AC11" s="5">
        <f t="shared" si="6"/>
        <v>0</v>
      </c>
      <c r="AD11" s="5">
        <f t="shared" si="6"/>
        <v>0</v>
      </c>
      <c r="AE11" s="8"/>
    </row>
    <row r="12" spans="1:33" x14ac:dyDescent="0.35">
      <c r="G12" s="3"/>
      <c r="H12" t="s">
        <v>57</v>
      </c>
      <c r="I12" t="s">
        <v>57</v>
      </c>
      <c r="J12" s="4"/>
      <c r="M12" s="5"/>
      <c r="N12" s="5">
        <f>N7-SUM(N8:N11)</f>
        <v>0</v>
      </c>
      <c r="O12" s="5">
        <f>O7-SUM(O8:O11)</f>
        <v>-40000</v>
      </c>
      <c r="P12" s="5">
        <f t="shared" ref="P12:AD12" si="7">P7-SUM(P8:P11)</f>
        <v>-25000</v>
      </c>
      <c r="Q12" s="5">
        <f t="shared" si="7"/>
        <v>8351.25</v>
      </c>
      <c r="R12" s="5">
        <f t="shared" si="7"/>
        <v>14868.5</v>
      </c>
      <c r="S12" s="5">
        <f t="shared" si="7"/>
        <v>27352.799999999999</v>
      </c>
      <c r="T12" s="5">
        <f t="shared" si="7"/>
        <v>51163.360000000001</v>
      </c>
      <c r="U12" s="5">
        <f t="shared" si="7"/>
        <v>288200</v>
      </c>
      <c r="V12" s="5">
        <f t="shared" si="7"/>
        <v>296846</v>
      </c>
      <c r="W12" s="5">
        <f t="shared" si="7"/>
        <v>305751.38</v>
      </c>
      <c r="X12" s="5">
        <f t="shared" si="7"/>
        <v>296578.83860000002</v>
      </c>
      <c r="Y12" s="5">
        <f t="shared" si="7"/>
        <v>287681.47344199993</v>
      </c>
      <c r="Z12" s="5">
        <f t="shared" si="7"/>
        <v>279051.02923873998</v>
      </c>
      <c r="AA12" s="5">
        <f t="shared" si="7"/>
        <v>270679.49836157775</v>
      </c>
      <c r="AB12" s="5">
        <f t="shared" si="7"/>
        <v>262559.11341073038</v>
      </c>
      <c r="AC12" s="5">
        <f t="shared" si="7"/>
        <v>254682.34000840847</v>
      </c>
      <c r="AD12" s="5">
        <f t="shared" si="7"/>
        <v>247041.86980815622</v>
      </c>
      <c r="AE12" s="8"/>
      <c r="AF12" t="s">
        <v>63</v>
      </c>
      <c r="AG12" s="11">
        <v>0.1</v>
      </c>
    </row>
    <row r="13" spans="1:33" ht="15" thickBot="1" x14ac:dyDescent="0.4">
      <c r="G13" s="3"/>
      <c r="H13" t="s">
        <v>64</v>
      </c>
      <c r="I13" t="s">
        <v>65</v>
      </c>
      <c r="J13" s="4">
        <v>0.2</v>
      </c>
      <c r="M13" s="5"/>
      <c r="N13" s="5">
        <v>0</v>
      </c>
      <c r="O13" s="5">
        <f>O12*(1-$J$13)</f>
        <v>-32000</v>
      </c>
      <c r="P13" s="5">
        <f>P12*($J$13)</f>
        <v>-5000</v>
      </c>
      <c r="Q13" s="5">
        <f t="shared" ref="Q13:AD13" si="8">Q12*($J$13)</f>
        <v>1670.25</v>
      </c>
      <c r="R13" s="5">
        <f t="shared" si="8"/>
        <v>2973.7000000000003</v>
      </c>
      <c r="S13" s="5">
        <f t="shared" si="8"/>
        <v>5470.56</v>
      </c>
      <c r="T13" s="5">
        <f t="shared" si="8"/>
        <v>10232.672</v>
      </c>
      <c r="U13" s="5">
        <f t="shared" si="8"/>
        <v>57640</v>
      </c>
      <c r="V13" s="5">
        <f t="shared" si="8"/>
        <v>59369.200000000004</v>
      </c>
      <c r="W13" s="5">
        <f t="shared" si="8"/>
        <v>61150.276000000005</v>
      </c>
      <c r="X13" s="5">
        <f t="shared" si="8"/>
        <v>59315.767720000003</v>
      </c>
      <c r="Y13" s="5">
        <f t="shared" si="8"/>
        <v>57536.29468839999</v>
      </c>
      <c r="Z13" s="5">
        <f t="shared" si="8"/>
        <v>55810.205847748002</v>
      </c>
      <c r="AA13" s="5">
        <f t="shared" si="8"/>
        <v>54135.899672315551</v>
      </c>
      <c r="AB13" s="5">
        <f t="shared" si="8"/>
        <v>52511.822682146078</v>
      </c>
      <c r="AC13" s="5">
        <f t="shared" si="8"/>
        <v>50936.4680016817</v>
      </c>
      <c r="AD13" s="5">
        <f t="shared" si="8"/>
        <v>49408.373961631245</v>
      </c>
      <c r="AE13" s="8"/>
    </row>
    <row r="14" spans="1:33" ht="15" thickBot="1" x14ac:dyDescent="0.4">
      <c r="G14" s="3"/>
      <c r="H14" t="s">
        <v>66</v>
      </c>
      <c r="I14" t="s">
        <v>67</v>
      </c>
      <c r="J14" s="4">
        <v>4.1000000000000002E-2</v>
      </c>
      <c r="M14" s="5"/>
      <c r="N14" s="5">
        <f>N12-N13</f>
        <v>0</v>
      </c>
      <c r="O14" s="5">
        <f>O12-O13</f>
        <v>-8000</v>
      </c>
      <c r="P14" s="5">
        <f t="shared" ref="P14:AD14" si="9">P12-P13</f>
        <v>-20000</v>
      </c>
      <c r="Q14" s="5">
        <f t="shared" si="9"/>
        <v>6681</v>
      </c>
      <c r="R14" s="5">
        <f t="shared" si="9"/>
        <v>11894.8</v>
      </c>
      <c r="S14" s="5">
        <f t="shared" si="9"/>
        <v>21882.239999999998</v>
      </c>
      <c r="T14" s="5">
        <f t="shared" si="9"/>
        <v>40930.688000000002</v>
      </c>
      <c r="U14" s="5">
        <f t="shared" si="9"/>
        <v>230560</v>
      </c>
      <c r="V14" s="5">
        <f t="shared" si="9"/>
        <v>237476.8</v>
      </c>
      <c r="W14" s="5">
        <f t="shared" si="9"/>
        <v>244601.10399999999</v>
      </c>
      <c r="X14" s="5">
        <f t="shared" si="9"/>
        <v>237263.07088000001</v>
      </c>
      <c r="Y14" s="5">
        <f t="shared" si="9"/>
        <v>230145.17875359993</v>
      </c>
      <c r="Z14" s="5">
        <f t="shared" si="9"/>
        <v>223240.82339099198</v>
      </c>
      <c r="AA14" s="5">
        <f t="shared" si="9"/>
        <v>216543.5986892622</v>
      </c>
      <c r="AB14" s="5">
        <f t="shared" si="9"/>
        <v>210047.29072858431</v>
      </c>
      <c r="AC14" s="5">
        <f t="shared" si="9"/>
        <v>203745.87200672677</v>
      </c>
      <c r="AD14" s="5">
        <f t="shared" si="9"/>
        <v>197633.49584652498</v>
      </c>
      <c r="AF14" s="12" t="s">
        <v>68</v>
      </c>
      <c r="AG14" s="13">
        <f>NPV(AG12,O14:AD14)</f>
        <v>811960.8112388571</v>
      </c>
    </row>
    <row r="15" spans="1:33" x14ac:dyDescent="0.35">
      <c r="B15" t="s">
        <v>69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Company notes</vt:lpstr>
      <vt:lpstr>BOTBAL</vt:lpstr>
      <vt:lpstr>Botensilimab (CTLA-4)</vt:lpstr>
      <vt:lpstr>PD1s</vt:lpstr>
      <vt:lpstr>Balstilimab (PD-1)</vt:lpstr>
      <vt:lpstr>Pipeline</vt:lpstr>
      <vt:lpstr>Model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Anthony S</dc:creator>
  <cp:lastModifiedBy>Anthony S</cp:lastModifiedBy>
  <dcterms:created xsi:type="dcterms:W3CDTF">2024-01-25T00:31:57Z</dcterms:created>
  <dcterms:modified xsi:type="dcterms:W3CDTF">2024-05-20T22:47:48Z</dcterms:modified>
</cp:coreProperties>
</file>